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521" windowWidth="12225" windowHeight="9735" activeTab="0"/>
  </bookViews>
  <sheets>
    <sheet name="Weight_Balance  DA40" sheetId="1" r:id="rId1"/>
  </sheets>
  <definedNames>
    <definedName name="_xlnm.Print_Area" localSheetId="0">'Weight_Balance  DA40'!$A$1:$K$52</definedName>
    <definedName name="mmtow">'Weight_Balance  DA40'!$D$40</definedName>
  </definedNames>
  <calcPr fullCalcOnLoad="1"/>
</workbook>
</file>

<file path=xl/comments1.xml><?xml version="1.0" encoding="utf-8"?>
<comments xmlns="http://schemas.openxmlformats.org/spreadsheetml/2006/main">
  <authors>
    <author>cedric</author>
  </authors>
  <commentList>
    <comment ref="B13" authorId="0">
      <text>
        <r>
          <rPr>
            <b/>
            <sz val="8"/>
            <rFont val="Tahoma"/>
            <family val="0"/>
          </rPr>
          <t>189 liters maximum</t>
        </r>
      </text>
    </comment>
    <comment ref="B12" authorId="0">
      <text>
        <r>
          <rPr>
            <b/>
            <sz val="8"/>
            <rFont val="Tahoma"/>
            <family val="0"/>
          </rPr>
          <t>30 kg maximum</t>
        </r>
      </text>
    </comment>
    <comment ref="I14" authorId="0">
      <text>
        <r>
          <rPr>
            <b/>
            <sz val="8"/>
            <rFont val="Tahoma"/>
            <family val="0"/>
          </rPr>
          <t>distance from reference panel (see manual)</t>
        </r>
      </text>
    </comment>
    <comment ref="D19" authorId="0">
      <text>
        <r>
          <rPr>
            <b/>
            <sz val="8"/>
            <rFont val="Tahoma"/>
            <family val="0"/>
          </rPr>
          <t>reported in graphics presentation</t>
        </r>
      </text>
    </comment>
    <comment ref="A13" authorId="0">
      <text>
        <r>
          <rPr>
            <b/>
            <sz val="8"/>
            <rFont val="Tahoma"/>
            <family val="0"/>
          </rPr>
          <t>usable fuel</t>
        </r>
      </text>
    </comment>
  </commentList>
</comments>
</file>

<file path=xl/sharedStrings.xml><?xml version="1.0" encoding="utf-8"?>
<sst xmlns="http://schemas.openxmlformats.org/spreadsheetml/2006/main" count="39" uniqueCount="30">
  <si>
    <t>total</t>
  </si>
  <si>
    <t>pax2 :</t>
  </si>
  <si>
    <t>pax1 :</t>
  </si>
  <si>
    <t>kg</t>
  </si>
  <si>
    <t>m</t>
  </si>
  <si>
    <t>position CG :</t>
  </si>
  <si>
    <t>kt</t>
  </si>
  <si>
    <t>mass</t>
  </si>
  <si>
    <t>arm</t>
  </si>
  <si>
    <t>moment</t>
  </si>
  <si>
    <t>empty weight</t>
  </si>
  <si>
    <t>front row</t>
  </si>
  <si>
    <t>back row</t>
  </si>
  <si>
    <t>fuel</t>
  </si>
  <si>
    <t>max takeoff weight</t>
  </si>
  <si>
    <t>max landing weight</t>
  </si>
  <si>
    <t>front limit</t>
  </si>
  <si>
    <t>rear limit</t>
  </si>
  <si>
    <t xml:space="preserve">actual takeoff weight : </t>
  </si>
  <si>
    <t>of total fuel</t>
  </si>
  <si>
    <t>baggage</t>
  </si>
  <si>
    <t>Actual landing parameters</t>
  </si>
  <si>
    <t>Mass</t>
  </si>
  <si>
    <t xml:space="preserve">Stall speed </t>
  </si>
  <si>
    <t>Final appr speed</t>
  </si>
  <si>
    <t>Nur als Referenz ! Die genauen Daten aus dem Handbuch sind verbindlich !</t>
  </si>
  <si>
    <t>Weight and balance DA40 OEDTS</t>
  </si>
  <si>
    <t>Nur die gelb unterlegten Felder eingeben !</t>
  </si>
  <si>
    <t>liters (full 156 liters) d=0,72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</si>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</sst>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</numFmts>
  <fonts count="45">
    <font>
      <sz val="10"/>
      <name val="Arial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180" fontId="0" fillId="33" borderId="13" xfId="0" applyNumberFormat="1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80" fontId="0" fillId="33" borderId="15" xfId="0" applyNumberFormat="1" applyFill="1" applyBorder="1" applyAlignment="1">
      <alignment horizontal="center"/>
    </xf>
    <xf numFmtId="180" fontId="0" fillId="33" borderId="16" xfId="0" applyNumberFormat="1" applyFill="1" applyBorder="1" applyAlignment="1">
      <alignment horizontal="center" vertical="top" wrapText="1"/>
    </xf>
    <xf numFmtId="180" fontId="0" fillId="33" borderId="17" xfId="0" applyNumberForma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0" fillId="34" borderId="10" xfId="0" applyFill="1" applyBorder="1" applyAlignment="1">
      <alignment horizontal="right"/>
    </xf>
    <xf numFmtId="181" fontId="3" fillId="33" borderId="13" xfId="0" applyNumberFormat="1" applyFont="1" applyFill="1" applyBorder="1" applyAlignment="1">
      <alignment horizontal="right"/>
    </xf>
    <xf numFmtId="181" fontId="0" fillId="33" borderId="22" xfId="0" applyNumberFormat="1" applyFill="1" applyBorder="1" applyAlignment="1">
      <alignment horizontal="right"/>
    </xf>
    <xf numFmtId="181" fontId="0" fillId="33" borderId="23" xfId="0" applyNumberFormat="1" applyFill="1" applyBorder="1" applyAlignment="1">
      <alignment horizontal="right"/>
    </xf>
    <xf numFmtId="181" fontId="0" fillId="33" borderId="24" xfId="0" applyNumberFormat="1" applyFill="1" applyBorder="1" applyAlignment="1">
      <alignment horizontal="right"/>
    </xf>
    <xf numFmtId="181" fontId="0" fillId="33" borderId="25" xfId="0" applyNumberFormat="1" applyFill="1" applyBorder="1" applyAlignment="1">
      <alignment horizontal="right" vertical="top" wrapText="1"/>
    </xf>
    <xf numFmtId="181" fontId="0" fillId="33" borderId="19" xfId="0" applyNumberFormat="1" applyFill="1" applyBorder="1" applyAlignment="1">
      <alignment horizontal="right"/>
    </xf>
    <xf numFmtId="180" fontId="3" fillId="33" borderId="26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8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9" fontId="4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34" borderId="11" xfId="0" applyFill="1" applyBorder="1" applyAlignment="1" applyProtection="1">
      <alignment horizontal="right"/>
      <protection locked="0"/>
    </xf>
    <xf numFmtId="0" fontId="0" fillId="35" borderId="0" xfId="0" applyFill="1" applyAlignment="1">
      <alignment/>
    </xf>
    <xf numFmtId="0" fontId="0" fillId="35" borderId="10" xfId="0" applyFill="1" applyBorder="1" applyAlignment="1" applyProtection="1">
      <alignment horizontal="right"/>
      <protection locked="0"/>
    </xf>
    <xf numFmtId="0" fontId="0" fillId="35" borderId="12" xfId="0" applyFill="1" applyBorder="1" applyAlignment="1" applyProtection="1">
      <alignment horizontal="right"/>
      <protection locked="0"/>
    </xf>
    <xf numFmtId="0" fontId="0" fillId="35" borderId="10" xfId="0" applyNumberFormat="1" applyFill="1" applyBorder="1" applyAlignment="1" applyProtection="1">
      <alignment vertical="top" wrapText="1"/>
      <protection locked="0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0" fontId="0" fillId="33" borderId="29" xfId="0" applyNumberFormat="1" applyFill="1" applyBorder="1" applyAlignment="1">
      <alignment horizontal="center"/>
    </xf>
    <xf numFmtId="180" fontId="0" fillId="33" borderId="30" xfId="0" applyNumberFormat="1" applyFill="1" applyBorder="1" applyAlignment="1">
      <alignment horizontal="center"/>
    </xf>
    <xf numFmtId="180" fontId="0" fillId="33" borderId="31" xfId="0" applyNumberFormat="1" applyFill="1" applyBorder="1" applyAlignment="1">
      <alignment horizontal="center" vertical="top" wrapText="1"/>
    </xf>
    <xf numFmtId="180" fontId="0" fillId="33" borderId="32" xfId="0" applyNumberFormat="1" applyFill="1" applyBorder="1" applyAlignment="1">
      <alignment horizontal="center" vertical="top" wrapText="1"/>
    </xf>
    <xf numFmtId="180" fontId="0" fillId="33" borderId="33" xfId="0" applyNumberFormat="1" applyFill="1" applyBorder="1" applyAlignment="1">
      <alignment horizontal="center"/>
    </xf>
    <xf numFmtId="180" fontId="0" fillId="33" borderId="21" xfId="0" applyNumberForma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0" fontId="0" fillId="33" borderId="35" xfId="0" applyNumberFormat="1" applyFill="1" applyBorder="1" applyAlignment="1">
      <alignment horizontal="center"/>
    </xf>
    <xf numFmtId="180" fontId="0" fillId="33" borderId="36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balance limits</a:t>
            </a:r>
          </a:p>
        </c:rich>
      </c:tx>
      <c:layout>
        <c:manualLayout>
          <c:xMode val="factor"/>
          <c:yMode val="factor"/>
          <c:x val="-0.007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525"/>
          <c:w val="0.92225"/>
          <c:h val="0.69425"/>
        </c:manualLayout>
      </c:layout>
      <c:scatterChart>
        <c:scatterStyle val="lineMarker"/>
        <c:varyColors val="0"/>
        <c:ser>
          <c:idx val="0"/>
          <c:order val="0"/>
          <c:tx>
            <c:v>catégorie 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'Weight_Balance  DA40'!$E$37:$E$42</c:f>
              <c:numCache/>
            </c:numRef>
          </c:xVal>
          <c:yVal>
            <c:numRef>
              <c:f>'Weight_Balance  DA40'!$D$37:$D$42</c:f>
              <c:numCache/>
            </c:numRef>
          </c:yVal>
          <c:smooth val="0"/>
        </c:ser>
        <c:ser>
          <c:idx val="2"/>
          <c:order val="1"/>
          <c:tx>
            <c:v>point de centrage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'Weight_Balance  DA40'!$I$14</c:f>
              <c:numCache/>
            </c:numRef>
          </c:xVal>
          <c:yVal>
            <c:numRef>
              <c:f>'Weight_Balance  DA40'!$H$14</c:f>
              <c:numCache/>
            </c:numRef>
          </c:yVal>
          <c:smooth val="0"/>
        </c:ser>
        <c:axId val="5714756"/>
        <c:axId val="51432805"/>
      </c:scatterChart>
      <c:valAx>
        <c:axId val="5714756"/>
        <c:scaling>
          <c:orientation val="minMax"/>
          <c:max val="2.65"/>
          <c:min val="2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front                                       rear
distance CG from reference point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1432805"/>
        <c:crossesAt val="750"/>
        <c:crossBetween val="midCat"/>
        <c:dispUnits/>
        <c:majorUnit val="0.020000000000000004"/>
      </c:valAx>
      <c:valAx>
        <c:axId val="51432805"/>
        <c:scaling>
          <c:orientation val="minMax"/>
          <c:max val="120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At val="2.35"/>
        <c:crossBetween val="midCat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0.51075</cdr:x>
      <cdr:y>0.67875</cdr:y>
    </cdr:from>
    <cdr:to>
      <cdr:x>0.535</cdr:x>
      <cdr:y>0.74925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47950" y="2171700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104775</xdr:rowOff>
    </xdr:from>
    <xdr:to>
      <xdr:col>9</xdr:col>
      <xdr:colOff>0</xdr:colOff>
      <xdr:row>42</xdr:row>
      <xdr:rowOff>66675</xdr:rowOff>
    </xdr:to>
    <xdr:graphicFrame>
      <xdr:nvGraphicFramePr>
        <xdr:cNvPr id="1" name="Diagramm 2"/>
        <xdr:cNvGraphicFramePr/>
      </xdr:nvGraphicFramePr>
      <xdr:xfrm>
        <a:off x="38100" y="3838575"/>
        <a:ext cx="5200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PageLayoutView="0" workbookViewId="0" topLeftCell="A1">
      <selection activeCell="P23" sqref="P23"/>
    </sheetView>
  </sheetViews>
  <sheetFormatPr defaultColWidth="11.421875" defaultRowHeight="12.75"/>
  <cols>
    <col min="1" max="1" width="15.7109375" style="0" customWidth="1"/>
    <col min="2" max="4" width="6.7109375" style="0" customWidth="1"/>
    <col min="5" max="5" width="5.7109375" style="0" customWidth="1"/>
    <col min="6" max="6" width="6.7109375" style="0" customWidth="1"/>
    <col min="7" max="7" width="7.421875" style="0" customWidth="1"/>
    <col min="8" max="8" width="9.57421875" style="0" customWidth="1"/>
    <col min="9" max="9" width="13.28125" style="0" customWidth="1"/>
    <col min="10" max="10" width="2.8515625" style="0" customWidth="1"/>
    <col min="11" max="11" width="7.57421875" style="0" customWidth="1"/>
  </cols>
  <sheetData>
    <row r="2" spans="1:3" ht="15.75">
      <c r="A2" s="40" t="s">
        <v>26</v>
      </c>
      <c r="B2" s="6"/>
      <c r="C2" s="6"/>
    </row>
    <row r="3" spans="1:3" ht="15.75">
      <c r="A3" s="6"/>
      <c r="B3" s="6"/>
      <c r="C3" s="6"/>
    </row>
    <row r="4" ht="12.75">
      <c r="A4" s="41" t="s">
        <v>25</v>
      </c>
    </row>
    <row r="6" spans="1:4" ht="12.75">
      <c r="A6" s="43" t="s">
        <v>27</v>
      </c>
      <c r="B6" s="43"/>
      <c r="C6" s="43"/>
      <c r="D6" s="43"/>
    </row>
    <row r="7" ht="13.5" thickBot="1"/>
    <row r="8" spans="3:11" ht="13.5" thickBot="1">
      <c r="C8" s="2"/>
      <c r="H8" s="37" t="s">
        <v>7</v>
      </c>
      <c r="I8" s="38" t="s">
        <v>8</v>
      </c>
      <c r="J8" s="64" t="s">
        <v>9</v>
      </c>
      <c r="K8" s="65"/>
    </row>
    <row r="9" spans="1:11" ht="13.5" thickBot="1">
      <c r="A9" s="13" t="s">
        <v>10</v>
      </c>
      <c r="B9" s="20">
        <v>735</v>
      </c>
      <c r="C9" s="3"/>
      <c r="D9" s="3"/>
      <c r="E9" s="3"/>
      <c r="F9" s="3"/>
      <c r="G9" s="4"/>
      <c r="H9" s="22">
        <f>B9</f>
        <v>735</v>
      </c>
      <c r="I9" s="8">
        <v>2.4762</v>
      </c>
      <c r="J9" s="66">
        <f>H9*I9</f>
        <v>1820.007</v>
      </c>
      <c r="K9" s="67"/>
    </row>
    <row r="10" spans="1:11" ht="13.5" thickBot="1">
      <c r="A10" s="14" t="s">
        <v>11</v>
      </c>
      <c r="B10" s="7" t="s">
        <v>2</v>
      </c>
      <c r="C10" s="44">
        <v>85</v>
      </c>
      <c r="D10" s="5" t="s">
        <v>1</v>
      </c>
      <c r="E10" s="44">
        <v>85</v>
      </c>
      <c r="F10" s="3"/>
      <c r="G10" s="4"/>
      <c r="H10" s="23">
        <f>C10+E10</f>
        <v>170</v>
      </c>
      <c r="I10" s="9">
        <v>2.3</v>
      </c>
      <c r="J10" s="58">
        <f>H10*I10</f>
        <v>390.99999999999994</v>
      </c>
      <c r="K10" s="59"/>
    </row>
    <row r="11" spans="1:11" ht="13.5" thickBot="1">
      <c r="A11" s="14" t="s">
        <v>12</v>
      </c>
      <c r="B11" s="7" t="s">
        <v>2</v>
      </c>
      <c r="C11" s="44">
        <v>85</v>
      </c>
      <c r="D11" s="5" t="s">
        <v>1</v>
      </c>
      <c r="E11" s="44">
        <v>10</v>
      </c>
      <c r="F11" s="5"/>
      <c r="G11" s="42"/>
      <c r="H11" s="24">
        <f>C11+E11</f>
        <v>95</v>
      </c>
      <c r="I11" s="9">
        <v>3.25</v>
      </c>
      <c r="J11" s="58">
        <f>H11*I11</f>
        <v>308.75</v>
      </c>
      <c r="K11" s="59"/>
    </row>
    <row r="12" spans="1:11" ht="13.5" thickBot="1">
      <c r="A12" s="14" t="s">
        <v>20</v>
      </c>
      <c r="B12" s="45">
        <v>10</v>
      </c>
      <c r="C12" s="29">
        <f>IF(B12&gt;65,"X","")</f>
      </c>
      <c r="D12" s="3"/>
      <c r="E12" s="3"/>
      <c r="F12" s="3"/>
      <c r="G12" s="4"/>
      <c r="H12" s="24">
        <f>B12</f>
        <v>10</v>
      </c>
      <c r="I12" s="10">
        <v>3.65</v>
      </c>
      <c r="J12" s="58">
        <f>H12*I12</f>
        <v>36.5</v>
      </c>
      <c r="K12" s="59"/>
    </row>
    <row r="13" spans="1:15" ht="13.5" thickBot="1">
      <c r="A13" s="19" t="s">
        <v>13</v>
      </c>
      <c r="B13" s="46">
        <v>156</v>
      </c>
      <c r="C13" s="51" t="s">
        <v>28</v>
      </c>
      <c r="D13" s="51"/>
      <c r="E13" s="51"/>
      <c r="F13" s="52"/>
      <c r="G13" s="53"/>
      <c r="H13" s="25">
        <f>B13*0.72</f>
        <v>112.32</v>
      </c>
      <c r="I13" s="11">
        <v>2.63</v>
      </c>
      <c r="J13" s="60">
        <f>H13*I13</f>
        <v>295.4016</v>
      </c>
      <c r="K13" s="61"/>
      <c r="N13" s="1"/>
      <c r="O13" s="1"/>
    </row>
    <row r="14" spans="1:11" ht="13.5" thickBot="1">
      <c r="A14" s="2"/>
      <c r="B14" s="36">
        <f>B13/156</f>
        <v>1</v>
      </c>
      <c r="C14" s="39" t="s">
        <v>19</v>
      </c>
      <c r="D14" s="2"/>
      <c r="E14" s="2"/>
      <c r="F14" s="54" t="s">
        <v>0</v>
      </c>
      <c r="G14" s="55"/>
      <c r="H14" s="26">
        <f>SUM(H9:H13)</f>
        <v>1122.32</v>
      </c>
      <c r="I14" s="12">
        <f>J14/H14</f>
        <v>2.540860538883741</v>
      </c>
      <c r="J14" s="62">
        <f>SUM(J9:J13)</f>
        <v>2851.6586</v>
      </c>
      <c r="K14" s="63"/>
    </row>
    <row r="15" spans="1:6" ht="12.75">
      <c r="A15" s="2"/>
      <c r="B15" s="2"/>
      <c r="C15" s="2"/>
      <c r="D15" s="2"/>
      <c r="E15" s="2"/>
      <c r="F15" s="2"/>
    </row>
    <row r="18" spans="6:11" ht="13.5" thickBot="1">
      <c r="F18" s="50" t="s">
        <v>14</v>
      </c>
      <c r="G18" s="50"/>
      <c r="H18" s="50"/>
      <c r="I18" s="18">
        <v>1150</v>
      </c>
      <c r="J18" s="18" t="s">
        <v>3</v>
      </c>
      <c r="K18" s="32">
        <f>IF(H14&gt;I18,"X","")</f>
      </c>
    </row>
    <row r="19" spans="1:11" ht="12.75">
      <c r="A19" s="56" t="s">
        <v>18</v>
      </c>
      <c r="B19" s="57"/>
      <c r="C19" s="57"/>
      <c r="D19" s="21">
        <f>H14</f>
        <v>1122.32</v>
      </c>
      <c r="E19" s="15" t="s">
        <v>3</v>
      </c>
      <c r="F19" s="49" t="s">
        <v>15</v>
      </c>
      <c r="G19" s="50"/>
      <c r="H19" s="50"/>
      <c r="I19" s="17">
        <v>1092</v>
      </c>
      <c r="J19" s="18" t="s">
        <v>3</v>
      </c>
      <c r="K19" s="31" t="str">
        <f>IF(H14&gt;I19,"X","")</f>
        <v>X</v>
      </c>
    </row>
    <row r="20" spans="1:11" ht="13.5" thickBot="1">
      <c r="A20" s="47" t="s">
        <v>5</v>
      </c>
      <c r="B20" s="48"/>
      <c r="C20" s="48"/>
      <c r="D20" s="27">
        <f>I14</f>
        <v>2.540860538883741</v>
      </c>
      <c r="E20" s="16" t="s">
        <v>4</v>
      </c>
      <c r="H20" s="17" t="s">
        <v>16</v>
      </c>
      <c r="I20" s="28">
        <v>2.4</v>
      </c>
      <c r="J20" s="18" t="s">
        <v>4</v>
      </c>
      <c r="K20" s="30">
        <f>IF(I20="x,xxx","",IF(I14&lt;I20,"X",""))</f>
      </c>
    </row>
    <row r="21" spans="2:11" s="1" customFormat="1" ht="12.75" customHeight="1">
      <c r="B21"/>
      <c r="C21"/>
      <c r="D21"/>
      <c r="E21"/>
      <c r="F21"/>
      <c r="H21" s="17" t="s">
        <v>17</v>
      </c>
      <c r="I21" s="28">
        <f>IF(H14&gt;I18,"x,xxx",2.59)</f>
        <v>2.59</v>
      </c>
      <c r="J21" s="18" t="s">
        <v>4</v>
      </c>
      <c r="K21" s="30">
        <f>IF(I21="x,xxx","",IF(I14&gt;I21,"X",""))</f>
      </c>
    </row>
    <row r="22" spans="1:16" ht="12.75">
      <c r="A22" s="32" t="str">
        <f>IF(H14&gt;I19,"caution you may have exceeded a limit","")</f>
        <v>caution you may have exceeded a limit</v>
      </c>
      <c r="P22" t="s">
        <v>29</v>
      </c>
    </row>
    <row r="23" ht="12.75">
      <c r="P23" t="s">
        <v>29</v>
      </c>
    </row>
    <row r="35" spans="7:8" ht="12.75">
      <c r="G35">
        <v>156</v>
      </c>
      <c r="H35" t="b">
        <f>B13&gt;G35</f>
        <v>0</v>
      </c>
    </row>
    <row r="37" spans="4:5" ht="12.75">
      <c r="D37">
        <v>780</v>
      </c>
      <c r="E37">
        <v>2.4</v>
      </c>
    </row>
    <row r="38" spans="4:5" ht="12.75">
      <c r="D38">
        <v>780</v>
      </c>
      <c r="E38">
        <v>2.59</v>
      </c>
    </row>
    <row r="39" spans="4:5" ht="12.75">
      <c r="D39">
        <v>1150</v>
      </c>
      <c r="E39">
        <v>2.59</v>
      </c>
    </row>
    <row r="40" spans="4:5" ht="12.75">
      <c r="D40">
        <v>1150</v>
      </c>
      <c r="E40">
        <v>2.45</v>
      </c>
    </row>
    <row r="41" spans="4:5" ht="12.75">
      <c r="D41" s="1">
        <v>980</v>
      </c>
      <c r="E41" s="1">
        <v>2.4</v>
      </c>
    </row>
    <row r="42" spans="4:5" ht="12.75">
      <c r="D42">
        <v>780</v>
      </c>
      <c r="E42">
        <v>2.4</v>
      </c>
    </row>
    <row r="46" spans="1:8" ht="12.75">
      <c r="A46" s="18" t="s">
        <v>21</v>
      </c>
      <c r="B46" s="18"/>
      <c r="C46" s="18"/>
      <c r="D46" s="18"/>
      <c r="E46" s="18"/>
      <c r="F46" s="35"/>
      <c r="G46" s="18"/>
      <c r="H46" s="18"/>
    </row>
    <row r="47" spans="1:8" ht="12.75">
      <c r="A47" s="18" t="s">
        <v>22</v>
      </c>
      <c r="B47" s="33">
        <f>H14</f>
        <v>1122.32</v>
      </c>
      <c r="C47" s="18" t="s">
        <v>3</v>
      </c>
      <c r="D47" s="18"/>
      <c r="F47" s="35"/>
      <c r="G47" s="35"/>
      <c r="H47" s="18"/>
    </row>
    <row r="48" spans="1:8" ht="12.75">
      <c r="A48" s="18" t="s">
        <v>23</v>
      </c>
      <c r="B48" s="33">
        <f>49*SQRT(H14/mmtow)</f>
        <v>48.406703811693724</v>
      </c>
      <c r="C48" s="18" t="s">
        <v>6</v>
      </c>
      <c r="D48" s="18"/>
      <c r="F48" s="35"/>
      <c r="G48" s="35"/>
      <c r="H48" s="18"/>
    </row>
    <row r="49" spans="1:8" ht="12.75">
      <c r="A49" s="18" t="s">
        <v>24</v>
      </c>
      <c r="B49" s="33">
        <f>1.3*B48</f>
        <v>62.92871495520184</v>
      </c>
      <c r="C49" s="18" t="s">
        <v>6</v>
      </c>
      <c r="D49" s="18"/>
      <c r="F49" s="35"/>
      <c r="G49" s="35"/>
      <c r="H49" s="18"/>
    </row>
    <row r="50" spans="1:8" ht="12.75">
      <c r="A50" s="34"/>
      <c r="B50" s="18"/>
      <c r="C50" s="18"/>
      <c r="D50" s="18"/>
      <c r="E50" s="18"/>
      <c r="F50" s="18"/>
      <c r="G50" s="18"/>
      <c r="H50" s="18"/>
    </row>
  </sheetData>
  <sheetProtection selectLockedCells="1"/>
  <mergeCells count="13">
    <mergeCell ref="J12:K12"/>
    <mergeCell ref="J13:K13"/>
    <mergeCell ref="J14:K14"/>
    <mergeCell ref="J8:K8"/>
    <mergeCell ref="J9:K9"/>
    <mergeCell ref="J10:K10"/>
    <mergeCell ref="J11:K11"/>
    <mergeCell ref="A20:C20"/>
    <mergeCell ref="F19:H19"/>
    <mergeCell ref="F18:H18"/>
    <mergeCell ref="C13:G13"/>
    <mergeCell ref="F14:G14"/>
    <mergeCell ref="A19:C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</dc:creator>
  <cp:keywords/>
  <dc:description/>
  <cp:lastModifiedBy>PCR</cp:lastModifiedBy>
  <cp:lastPrinted>2006-03-23T22:27:48Z</cp:lastPrinted>
  <dcterms:created xsi:type="dcterms:W3CDTF">2005-04-16T12:52:41Z</dcterms:created>
  <dcterms:modified xsi:type="dcterms:W3CDTF">2016-04-30T16:59:47Z</dcterms:modified>
  <cp:category/>
  <cp:version/>
  <cp:contentType/>
  <cp:contentStatus/>
</cp:coreProperties>
</file>