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395" windowHeight="103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<sst xmlns="http://schemas.openxmlformats.org/spreadsheetml/2006/main" count="31" uniqueCount="30">
  <si>
    <t>Arm</t>
  </si>
  <si>
    <t>Moment</t>
  </si>
  <si>
    <t>Empty Weight</t>
  </si>
  <si>
    <t>Fuel in litres</t>
  </si>
  <si>
    <t>Total Moment</t>
  </si>
  <si>
    <t>All up Weight</t>
  </si>
  <si>
    <t>Endurance</t>
  </si>
  <si>
    <t>Hours</t>
  </si>
  <si>
    <t>1inch</t>
  </si>
  <si>
    <t>25.4mm</t>
  </si>
  <si>
    <t>1 US gal</t>
  </si>
  <si>
    <t>3.78 litres</t>
  </si>
  <si>
    <t xml:space="preserve">Conversions Used </t>
  </si>
  <si>
    <t>All units lbs und in</t>
  </si>
  <si>
    <t>Total lbs</t>
  </si>
  <si>
    <t>lbs</t>
  </si>
  <si>
    <t>Weight</t>
  </si>
  <si>
    <t>1 ltr to lbs</t>
  </si>
  <si>
    <t>0.453</t>
  </si>
  <si>
    <t>1 lb to kg</t>
  </si>
  <si>
    <t>Taxi fuel allowance not calculated!</t>
  </si>
  <si>
    <t>1 kg to lbs</t>
  </si>
  <si>
    <t>Front Row</t>
  </si>
  <si>
    <t>Rear Row</t>
  </si>
  <si>
    <t>Rear Baggage A</t>
  </si>
  <si>
    <t>Maximum Fuel 337 litres</t>
  </si>
  <si>
    <t>Hat rack</t>
  </si>
  <si>
    <t>@ 55l/Hr</t>
  </si>
  <si>
    <t>Weight and Balance (M20R OEKGG)</t>
  </si>
  <si>
    <t>Eingaben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</si>
</sst>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_ ;[Red]\-0.00\ "/>
    <numFmt numFmtId="179" formatCode="0.0"/>
    <numFmt numFmtId="180" formatCode="0.0000"/>
    <numFmt numFmtId="181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4" fillId="33" borderId="0" xfId="0" applyFont="1" applyFill="1" applyAlignment="1" quotePrefix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/>
    </xf>
    <xf numFmtId="0" fontId="4" fillId="33" borderId="0" xfId="0" applyFont="1" applyFill="1" applyAlignment="1">
      <alignment horizontal="left"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 horizontal="right"/>
    </xf>
    <xf numFmtId="2" fontId="0" fillId="33" borderId="0" xfId="0" applyNumberFormat="1" applyFill="1" applyAlignment="1">
      <alignment/>
    </xf>
    <xf numFmtId="2" fontId="42" fillId="33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43" fillId="33" borderId="0" xfId="0" applyFont="1" applyFill="1" applyAlignment="1">
      <alignment horizontal="left"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/>
    </xf>
    <xf numFmtId="2" fontId="40" fillId="33" borderId="0" xfId="0" applyNumberFormat="1" applyFont="1" applyFill="1" applyAlignment="1">
      <alignment/>
    </xf>
    <xf numFmtId="2" fontId="0" fillId="33" borderId="0" xfId="0" applyNumberFormat="1" applyFill="1" applyAlignment="1" quotePrefix="1">
      <alignment/>
    </xf>
    <xf numFmtId="0" fontId="0" fillId="33" borderId="0" xfId="0" applyFont="1" applyFill="1" applyAlignment="1">
      <alignment/>
    </xf>
    <xf numFmtId="0" fontId="26" fillId="0" borderId="0" xfId="0" applyFont="1" applyAlignment="1">
      <alignment/>
    </xf>
    <xf numFmtId="2" fontId="1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15" xfId="0" applyFill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rgb="FF9C0006"/>
      </font>
    </dxf>
    <dxf>
      <font>
        <color rgb="FF9C0006"/>
      </font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345"/>
          <c:w val="0.7232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Sheet1!$B$20:$B$25</c:f>
              <c:numCache/>
            </c:numRef>
          </c:xVal>
          <c:yVal>
            <c:numRef>
              <c:f>Sheet1!$C$20:$C$25</c:f>
              <c:numCache/>
            </c:numRef>
          </c:yVal>
          <c:smooth val="0"/>
        </c:ser>
        <c:ser>
          <c:idx val="1"/>
          <c:order val="1"/>
          <c:tx>
            <c:v>actual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Sheet1!$J$13</c:f>
              <c:numCache/>
            </c:numRef>
          </c:xVal>
          <c:yVal>
            <c:numRef>
              <c:f>Sheet1!$H$13</c:f>
              <c:numCache/>
            </c:numRef>
          </c:yVal>
          <c:smooth val="0"/>
        </c:ser>
        <c:axId val="38545444"/>
        <c:axId val="11364677"/>
      </c:scatterChart>
      <c:valAx>
        <c:axId val="38545444"/>
        <c:scaling>
          <c:orientation val="minMax"/>
          <c:max val="51.5"/>
          <c:min val="4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Arm</a:t>
                </a:r>
              </a:p>
            </c:rich>
          </c:tx>
          <c:layout>
            <c:manualLayout>
              <c:xMode val="factor"/>
              <c:yMode val="factor"/>
              <c:x val="0.00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64677"/>
        <c:crosses val="autoZero"/>
        <c:crossBetween val="midCat"/>
        <c:dispUnits/>
      </c:valAx>
      <c:valAx>
        <c:axId val="11364677"/>
        <c:scaling>
          <c:orientation val="minMax"/>
          <c:max val="34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454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4085"/>
          <c:w val="0.19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16</xdr:row>
      <xdr:rowOff>38100</xdr:rowOff>
    </xdr:from>
    <xdr:to>
      <xdr:col>8</xdr:col>
      <xdr:colOff>257175</xdr:colOff>
      <xdr:row>33</xdr:row>
      <xdr:rowOff>28575</xdr:rowOff>
    </xdr:to>
    <xdr:graphicFrame>
      <xdr:nvGraphicFramePr>
        <xdr:cNvPr id="1" name="Diagramm 7"/>
        <xdr:cNvGraphicFramePr/>
      </xdr:nvGraphicFramePr>
      <xdr:xfrm>
        <a:off x="1038225" y="2657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zoomScalePageLayoutView="0" workbookViewId="0" topLeftCell="B1">
      <selection activeCell="F7" sqref="F7"/>
    </sheetView>
  </sheetViews>
  <sheetFormatPr defaultColWidth="9.140625" defaultRowHeight="12.75"/>
  <cols>
    <col min="1" max="1" width="9.140625" style="0" customWidth="1"/>
    <col min="2" max="2" width="14.8515625" style="0" customWidth="1"/>
    <col min="3" max="3" width="6.8515625" style="0" customWidth="1"/>
    <col min="4" max="4" width="6.421875" style="0" customWidth="1"/>
    <col min="5" max="5" width="11.7109375" style="0" customWidth="1"/>
    <col min="6" max="6" width="10.140625" style="13" customWidth="1"/>
    <col min="7" max="7" width="10.140625" style="0" customWidth="1"/>
    <col min="8" max="8" width="11.00390625" style="0" customWidth="1"/>
    <col min="9" max="9" width="11.7109375" style="0" customWidth="1"/>
    <col min="10" max="10" width="13.28125" style="13" customWidth="1"/>
    <col min="11" max="12" width="9.140625" style="0" customWidth="1"/>
    <col min="13" max="13" width="20.00390625" style="0" customWidth="1"/>
    <col min="14" max="14" width="13.8515625" style="0" customWidth="1"/>
    <col min="15" max="15" width="9.140625" style="0" customWidth="1"/>
    <col min="16" max="16" width="14.140625" style="0" customWidth="1"/>
  </cols>
  <sheetData>
    <row r="1" spans="2:10" ht="15">
      <c r="B1" s="3"/>
      <c r="C1" s="3"/>
      <c r="D1" s="3"/>
      <c r="E1" s="3"/>
      <c r="F1" s="12"/>
      <c r="G1" s="3"/>
      <c r="H1" s="3"/>
      <c r="I1" s="3"/>
      <c r="J1" s="12"/>
    </row>
    <row r="2" ht="12.75">
      <c r="G2" s="24">
        <f>1/0.453</f>
        <v>2.2075055187637966</v>
      </c>
    </row>
    <row r="3" spans="2:7" ht="12.75">
      <c r="B3" s="1" t="s">
        <v>28</v>
      </c>
      <c r="G3" t="s">
        <v>13</v>
      </c>
    </row>
    <row r="4" ht="12.75">
      <c r="B4" s="1"/>
    </row>
    <row r="5" spans="2:10" ht="12.75">
      <c r="B5" s="5"/>
      <c r="C5" s="23" t="s">
        <v>29</v>
      </c>
      <c r="D5" s="6"/>
      <c r="E5" s="7" t="s">
        <v>15</v>
      </c>
      <c r="F5" s="14" t="s">
        <v>0</v>
      </c>
      <c r="G5" s="7" t="s">
        <v>1</v>
      </c>
      <c r="H5" s="7" t="s">
        <v>14</v>
      </c>
      <c r="I5" s="6" t="s">
        <v>4</v>
      </c>
      <c r="J5" s="14" t="s">
        <v>0</v>
      </c>
    </row>
    <row r="6" spans="2:10" ht="12.75">
      <c r="B6" s="6" t="s">
        <v>2</v>
      </c>
      <c r="C6" s="6"/>
      <c r="D6" s="6"/>
      <c r="E6" s="10">
        <v>2312</v>
      </c>
      <c r="F6" s="21">
        <v>43.62</v>
      </c>
      <c r="G6" s="6">
        <f aca="true" t="shared" si="0" ref="G6:G11">(E6*F6)</f>
        <v>100849.43999999999</v>
      </c>
      <c r="H6" s="6">
        <f>E6</f>
        <v>2312</v>
      </c>
      <c r="I6" s="8">
        <f>G6</f>
        <v>100849.43999999999</v>
      </c>
      <c r="J6" s="15">
        <f aca="true" t="shared" si="1" ref="J6:J11">I6/H6</f>
        <v>43.62</v>
      </c>
    </row>
    <row r="7" spans="2:10" ht="12.75">
      <c r="B7" s="23" t="s">
        <v>22</v>
      </c>
      <c r="C7" s="26">
        <v>180</v>
      </c>
      <c r="D7" s="27">
        <v>180</v>
      </c>
      <c r="E7" s="6">
        <f>C7+D7</f>
        <v>360</v>
      </c>
      <c r="F7" s="15">
        <v>37</v>
      </c>
      <c r="G7" s="6">
        <f t="shared" si="0"/>
        <v>13320</v>
      </c>
      <c r="H7" s="6">
        <f>E7+H6</f>
        <v>2672</v>
      </c>
      <c r="I7" s="8">
        <f>G7+G6</f>
        <v>114169.43999999999</v>
      </c>
      <c r="J7" s="15">
        <f t="shared" si="1"/>
        <v>42.72808383233532</v>
      </c>
    </row>
    <row r="8" spans="2:10" ht="12.75">
      <c r="B8" s="23" t="s">
        <v>23</v>
      </c>
      <c r="C8" s="28">
        <v>170</v>
      </c>
      <c r="D8" s="29">
        <v>170</v>
      </c>
      <c r="E8" s="6">
        <f>C8+D8</f>
        <v>340</v>
      </c>
      <c r="F8" s="15">
        <v>73</v>
      </c>
      <c r="G8" s="6">
        <f t="shared" si="0"/>
        <v>24820</v>
      </c>
      <c r="H8" s="6">
        <f>E8+H7</f>
        <v>3012</v>
      </c>
      <c r="I8" s="8">
        <f>G8+G7+G6</f>
        <v>138989.44</v>
      </c>
      <c r="J8" s="15">
        <f t="shared" si="1"/>
        <v>46.14523240371846</v>
      </c>
    </row>
    <row r="9" spans="2:10" ht="12.75">
      <c r="B9" s="23" t="s">
        <v>24</v>
      </c>
      <c r="C9" s="28"/>
      <c r="D9" s="29">
        <v>12</v>
      </c>
      <c r="E9" s="6">
        <f>D9</f>
        <v>12</v>
      </c>
      <c r="F9" s="15">
        <v>101.5</v>
      </c>
      <c r="G9" s="6">
        <f t="shared" si="0"/>
        <v>1218</v>
      </c>
      <c r="H9" s="6">
        <f>E9+H8</f>
        <v>3024</v>
      </c>
      <c r="I9" s="8">
        <f>G6+G7+G8+G9</f>
        <v>140207.44</v>
      </c>
      <c r="J9" s="15">
        <f t="shared" si="1"/>
        <v>46.36489417989418</v>
      </c>
    </row>
    <row r="10" spans="2:10" ht="12.75">
      <c r="B10" s="6" t="s">
        <v>3</v>
      </c>
      <c r="C10" s="28">
        <v>210</v>
      </c>
      <c r="D10" s="30"/>
      <c r="E10" s="6">
        <f>C10*K19</f>
        <v>328.65</v>
      </c>
      <c r="F10" s="15">
        <v>49.23</v>
      </c>
      <c r="G10" s="8">
        <f t="shared" si="0"/>
        <v>16179.439499999999</v>
      </c>
      <c r="H10" s="8">
        <f>E10+H9</f>
        <v>3352.65</v>
      </c>
      <c r="I10" s="8">
        <f>G7+G8+G9+G10+G6</f>
        <v>156386.87949999998</v>
      </c>
      <c r="J10" s="15">
        <f t="shared" si="1"/>
        <v>46.645751718789604</v>
      </c>
    </row>
    <row r="11" spans="2:10" ht="12.75">
      <c r="B11" s="6" t="s">
        <v>26</v>
      </c>
      <c r="C11" s="31"/>
      <c r="D11" s="33">
        <v>10</v>
      </c>
      <c r="E11" s="6">
        <f>D11</f>
        <v>10</v>
      </c>
      <c r="F11" s="15">
        <v>131</v>
      </c>
      <c r="G11" s="8">
        <f t="shared" si="0"/>
        <v>1310</v>
      </c>
      <c r="H11" s="8">
        <f>E11+H10</f>
        <v>3362.65</v>
      </c>
      <c r="I11" s="8">
        <f>G7+G8+G9+G10+G11+G6</f>
        <v>157696.87949999998</v>
      </c>
      <c r="J11" s="15">
        <f t="shared" si="1"/>
        <v>46.896608181047675</v>
      </c>
    </row>
    <row r="12" spans="3:10" ht="12.75">
      <c r="C12" s="6"/>
      <c r="D12" s="6"/>
      <c r="E12" s="6"/>
      <c r="F12" s="15"/>
      <c r="G12" s="6"/>
      <c r="H12" s="6"/>
      <c r="I12" s="6"/>
      <c r="J12" s="15"/>
    </row>
    <row r="13" spans="2:10" ht="12.75">
      <c r="B13" s="18" t="s">
        <v>25</v>
      </c>
      <c r="C13" s="6"/>
      <c r="D13" s="6"/>
      <c r="E13" s="18" t="s">
        <v>5</v>
      </c>
      <c r="F13" s="15"/>
      <c r="G13" s="11">
        <v>3368</v>
      </c>
      <c r="H13" s="32">
        <f>H11</f>
        <v>3362.65</v>
      </c>
      <c r="I13" s="8">
        <f>I11</f>
        <v>157696.87949999998</v>
      </c>
      <c r="J13" s="25">
        <f>I13/H13</f>
        <v>46.896608181047675</v>
      </c>
    </row>
    <row r="14" spans="2:10" ht="12.75">
      <c r="B14" s="5"/>
      <c r="C14" s="6"/>
      <c r="D14" s="6"/>
      <c r="E14" s="6"/>
      <c r="F14" s="15"/>
      <c r="G14" s="6"/>
      <c r="H14" s="6"/>
      <c r="I14" s="6"/>
      <c r="J14" s="15"/>
    </row>
    <row r="15" spans="2:9" ht="12.75">
      <c r="B15" s="6"/>
      <c r="C15" s="6"/>
      <c r="D15" s="6"/>
      <c r="E15" s="9" t="s">
        <v>6</v>
      </c>
      <c r="F15" s="22" t="s">
        <v>27</v>
      </c>
      <c r="G15" s="15">
        <f>C10/55</f>
        <v>3.8181818181818183</v>
      </c>
      <c r="H15" s="6" t="s">
        <v>7</v>
      </c>
      <c r="I15" s="16" t="s">
        <v>20</v>
      </c>
    </row>
    <row r="18" ht="12.75">
      <c r="J18" s="13" t="s">
        <v>12</v>
      </c>
    </row>
    <row r="19" spans="3:11" ht="12.75">
      <c r="C19" t="s">
        <v>16</v>
      </c>
      <c r="J19" s="19" t="s">
        <v>17</v>
      </c>
      <c r="K19" s="20">
        <v>1.565</v>
      </c>
    </row>
    <row r="20" spans="2:11" ht="12.75">
      <c r="B20" s="13">
        <v>41</v>
      </c>
      <c r="C20">
        <v>2000</v>
      </c>
      <c r="J20" s="13">
        <v>272</v>
      </c>
      <c r="K20">
        <f>1.565*J20</f>
        <v>425.68</v>
      </c>
    </row>
    <row r="21" spans="2:11" ht="12.75">
      <c r="B21" s="13">
        <v>41</v>
      </c>
      <c r="C21">
        <v>2430</v>
      </c>
      <c r="J21" s="19" t="s">
        <v>19</v>
      </c>
      <c r="K21" s="20" t="s">
        <v>18</v>
      </c>
    </row>
    <row r="22" spans="2:11" ht="12.75">
      <c r="B22" s="13">
        <v>44</v>
      </c>
      <c r="C22">
        <v>3300</v>
      </c>
      <c r="J22" s="13">
        <v>1</v>
      </c>
      <c r="K22">
        <f>J22*0.453</f>
        <v>0.453</v>
      </c>
    </row>
    <row r="23" spans="2:11" ht="12.75">
      <c r="B23" s="13">
        <v>46</v>
      </c>
      <c r="C23">
        <v>3368</v>
      </c>
      <c r="J23" s="19" t="s">
        <v>21</v>
      </c>
      <c r="K23" s="20">
        <v>2.208</v>
      </c>
    </row>
    <row r="24" spans="2:11" ht="12.75">
      <c r="B24" s="13">
        <v>51</v>
      </c>
      <c r="C24">
        <v>3368</v>
      </c>
      <c r="J24" s="13">
        <v>1</v>
      </c>
      <c r="K24">
        <f>J24*2.208</f>
        <v>2.208</v>
      </c>
    </row>
    <row r="25" spans="2:11" ht="12.75">
      <c r="B25" s="13">
        <v>51</v>
      </c>
      <c r="C25">
        <v>2000</v>
      </c>
      <c r="J25" s="19" t="s">
        <v>8</v>
      </c>
      <c r="K25" s="20" t="s">
        <v>9</v>
      </c>
    </row>
    <row r="26" spans="2:11" ht="12.75">
      <c r="B26" s="13"/>
      <c r="J26" s="13">
        <v>1</v>
      </c>
      <c r="K26">
        <f>J26*25.4</f>
        <v>25.4</v>
      </c>
    </row>
    <row r="27" spans="2:11" ht="12.75">
      <c r="B27" s="13"/>
      <c r="C27" s="4"/>
      <c r="J27" s="19" t="s">
        <v>10</v>
      </c>
      <c r="K27" s="20" t="s">
        <v>11</v>
      </c>
    </row>
    <row r="28" spans="10:11" ht="12.75">
      <c r="J28" s="13">
        <v>72</v>
      </c>
      <c r="K28">
        <f>J28*3.78</f>
        <v>272.15999999999997</v>
      </c>
    </row>
    <row r="29" ht="12.75">
      <c r="J29" s="19"/>
    </row>
    <row r="49" spans="2:10" ht="12.75">
      <c r="B49" s="2"/>
      <c r="C49" s="2"/>
      <c r="D49" s="2"/>
      <c r="E49" s="2"/>
      <c r="F49" s="17"/>
      <c r="G49" s="2"/>
      <c r="H49" s="2"/>
      <c r="I49" s="2"/>
      <c r="J49" s="17"/>
    </row>
    <row r="50" spans="2:10" ht="12.75">
      <c r="B50" s="2"/>
      <c r="C50" s="2"/>
      <c r="D50" s="2"/>
      <c r="E50" s="2"/>
      <c r="F50" s="17"/>
      <c r="G50" s="2"/>
      <c r="H50" s="2"/>
      <c r="I50" s="2"/>
      <c r="J50" s="17"/>
    </row>
    <row r="51" spans="2:10" ht="12.75">
      <c r="B51" s="2"/>
      <c r="C51" s="2"/>
      <c r="D51" s="2"/>
      <c r="E51" s="2"/>
      <c r="F51" s="17"/>
      <c r="G51" s="2"/>
      <c r="H51" s="2"/>
      <c r="I51" s="2"/>
      <c r="J51" s="17"/>
    </row>
  </sheetData>
  <sheetProtection/>
  <conditionalFormatting sqref="H13">
    <cfRule type="cellIs" priority="1" dxfId="2" operator="greaterThan" stopIfTrue="1">
      <formula>3368</formula>
    </cfRule>
    <cfRule type="cellIs" priority="2" dxfId="0" operator="greaterThan" stopIfTrue="1">
      <formula>3368</formula>
    </cfRule>
    <cfRule type="cellIs" priority="3" dxfId="0" operator="greaterThan" stopIfTrue="1">
      <formula>3368</formula>
    </cfRule>
  </conditionalFormatting>
  <printOptions/>
  <pageMargins left="0.787401575" right="0.787401575" top="0.984251969" bottom="0.984251969" header="0.5" footer="0.5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206 (VH-AZN)</dc:title>
  <dc:subject>Load Sheet</dc:subject>
  <dc:creator>rebay</dc:creator>
  <cp:keywords/>
  <dc:description/>
  <cp:lastModifiedBy>pcr</cp:lastModifiedBy>
  <cp:lastPrinted>2000-01-05T04:13:13Z</cp:lastPrinted>
  <dcterms:created xsi:type="dcterms:W3CDTF">2000-09-26T03:47:35Z</dcterms:created>
  <dcterms:modified xsi:type="dcterms:W3CDTF">2014-12-14T13:33:24Z</dcterms:modified>
  <cp:category/>
  <cp:version/>
  <cp:contentType/>
  <cp:contentStatus/>
</cp:coreProperties>
</file>